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1"/>
  <workbookPr/>
  <mc:AlternateContent xmlns:mc="http://schemas.openxmlformats.org/markup-compatibility/2006">
    <mc:Choice Requires="x15">
      <x15ac:absPath xmlns:x15ac="http://schemas.microsoft.com/office/spreadsheetml/2010/11/ac" url="https://chdi3-my.sharepoint.com/personal/ktheriault_chdi_org/Documents/Kayla/LSU/Business Metrics/"/>
    </mc:Choice>
  </mc:AlternateContent>
  <xr:revisionPtr revIDLastSave="0" documentId="8_{EFC99E27-200A-4606-BDBC-700CF459532F}" xr6:coauthVersionLast="47" xr6:coauthVersionMax="47" xr10:uidLastSave="{00000000-0000-0000-0000-000000000000}"/>
  <bookViews>
    <workbookView xWindow="28680" yWindow="-120" windowWidth="29040" windowHeight="15840" xr2:uid="{BA055E4C-8CA4-4B60-8AFC-7F7C4643B1AC}"/>
  </bookViews>
  <sheets>
    <sheet name="Budget Development Tool" sheetId="1" r:id="rId1"/>
    <sheet name="Calculating Lost Revenu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M17" i="1"/>
  <c r="M16" i="1"/>
  <c r="M15" i="1"/>
  <c r="M8" i="1"/>
  <c r="M7" i="1"/>
  <c r="M6" i="1"/>
  <c r="B93" i="1"/>
  <c r="B86" i="1"/>
  <c r="C63" i="1"/>
  <c r="E63" i="1" s="1"/>
  <c r="D53" i="1"/>
  <c r="D54" i="1"/>
  <c r="D52" i="1"/>
  <c r="B56" i="1" s="1"/>
  <c r="D46" i="1"/>
  <c r="D47" i="1"/>
  <c r="D45" i="1"/>
  <c r="H16" i="2"/>
  <c r="H14" i="2"/>
  <c r="H13" i="2"/>
  <c r="H12" i="2"/>
  <c r="K8" i="2"/>
  <c r="K7" i="2"/>
  <c r="K2" i="2"/>
  <c r="K4" i="2"/>
  <c r="K3" i="2"/>
  <c r="H7" i="2"/>
  <c r="H5" i="2"/>
  <c r="H4" i="2"/>
  <c r="H3" i="2"/>
  <c r="H11" i="2"/>
  <c r="K13" i="2" s="1"/>
  <c r="H2" i="2"/>
  <c r="H6" i="2" s="1"/>
  <c r="F16" i="2"/>
  <c r="C15" i="2"/>
  <c r="F13" i="2"/>
  <c r="F12" i="2"/>
  <c r="F11" i="2"/>
  <c r="C6" i="2"/>
  <c r="F7" i="2" s="1"/>
  <c r="F4" i="2"/>
  <c r="F3" i="2"/>
  <c r="F2" i="2"/>
  <c r="K11" i="2" l="1"/>
  <c r="K12" i="2"/>
  <c r="H15" i="2"/>
  <c r="K16" i="2" s="1"/>
  <c r="F17" i="2"/>
  <c r="F8" i="2"/>
  <c r="K17" i="2" l="1"/>
  <c r="I19" i="2" s="1"/>
  <c r="A71" i="1" l="1"/>
  <c r="C78" i="1"/>
  <c r="B80" i="1" s="1"/>
  <c r="D21" i="1"/>
  <c r="E21" i="1" l="1"/>
  <c r="F21" i="1" s="1"/>
  <c r="C67" i="1"/>
  <c r="D14" i="1"/>
  <c r="E14" i="1" s="1"/>
  <c r="D13" i="1"/>
  <c r="E13" i="1" s="1"/>
  <c r="C71" i="1"/>
  <c r="E71" i="1" s="1"/>
  <c r="B73" i="1" s="1"/>
  <c r="E47" i="1"/>
  <c r="E46" i="1"/>
  <c r="E45" i="1"/>
  <c r="B49" i="1" s="1"/>
  <c r="B58" i="1" s="1"/>
  <c r="D36" i="1"/>
  <c r="D31" i="1"/>
  <c r="D30" i="1"/>
  <c r="D29" i="1"/>
  <c r="D28" i="1"/>
  <c r="D23" i="1"/>
  <c r="D22" i="1"/>
  <c r="E22" i="1" s="1"/>
  <c r="D20" i="1"/>
  <c r="J19" i="1"/>
  <c r="M20" i="1" s="1"/>
  <c r="M21" i="1" s="1"/>
  <c r="D19" i="1"/>
  <c r="D18" i="1"/>
  <c r="E18" i="1" s="1"/>
  <c r="F18" i="1" s="1"/>
  <c r="D17" i="1"/>
  <c r="E17" i="1" s="1"/>
  <c r="D12" i="1"/>
  <c r="E12" i="1" s="1"/>
  <c r="D11" i="1"/>
  <c r="J10" i="1"/>
  <c r="D10" i="1"/>
  <c r="D9" i="1"/>
  <c r="E9" i="1" s="1"/>
  <c r="D8" i="1"/>
  <c r="E8" i="1" s="1"/>
  <c r="F8" i="1" s="1"/>
  <c r="M11" i="1" l="1"/>
  <c r="M12" i="1" s="1"/>
  <c r="I22" i="1" s="1"/>
  <c r="I31" i="1" s="1"/>
  <c r="E28" i="1"/>
  <c r="F28" i="1" s="1"/>
  <c r="E29" i="1"/>
  <c r="F29" i="1" s="1"/>
  <c r="E30" i="1"/>
  <c r="F30" i="1" s="1"/>
  <c r="E31" i="1"/>
  <c r="F31" i="1" s="1"/>
  <c r="F13" i="1"/>
  <c r="F14" i="1"/>
  <c r="E23" i="1"/>
  <c r="F23" i="1" s="1"/>
  <c r="E10" i="1"/>
  <c r="F10" i="1" s="1"/>
  <c r="E20" i="1"/>
  <c r="F20" i="1" s="1"/>
  <c r="F12" i="1"/>
  <c r="E11" i="1"/>
  <c r="F11" i="1" s="1"/>
  <c r="F22" i="1"/>
  <c r="F9" i="1"/>
  <c r="B24" i="1" s="1"/>
  <c r="F17" i="1"/>
  <c r="E19" i="1"/>
  <c r="F19" i="1" s="1"/>
  <c r="B32" i="1" l="1"/>
  <c r="D37" i="1"/>
  <c r="B41" i="1" l="1"/>
  <c r="B95" i="1" s="1"/>
  <c r="B39" i="1"/>
  <c r="A2" i="1" l="1"/>
  <c r="G3" i="1"/>
  <c r="H2" i="1"/>
</calcChain>
</file>

<file path=xl/sharedStrings.xml><?xml version="1.0" encoding="utf-8"?>
<sst xmlns="http://schemas.openxmlformats.org/spreadsheetml/2006/main" count="200" uniqueCount="125">
  <si>
    <t>MCR Budget Development Tool</t>
  </si>
  <si>
    <t>PROFIT/LOSS</t>
  </si>
  <si>
    <t>Expenses</t>
  </si>
  <si>
    <t>Revenue</t>
  </si>
  <si>
    <t>Staffing</t>
  </si>
  <si>
    <t>Medicaid Insurance*</t>
  </si>
  <si>
    <t xml:space="preserve"> Episodes of Care</t>
  </si>
  <si>
    <t>Reimbursable Initial Assessments/ Units Per Episode of Care</t>
  </si>
  <si>
    <t>Units</t>
  </si>
  <si>
    <t>FFS Rate</t>
  </si>
  <si>
    <t>Total</t>
  </si>
  <si>
    <t xml:space="preserve">MCR Benefit Eligible Full-time/ Part -Time Staff </t>
  </si>
  <si>
    <t>Fringe Rate:</t>
  </si>
  <si>
    <t xml:space="preserve">Episodes of Care </t>
  </si>
  <si>
    <t>Per Diem</t>
  </si>
  <si>
    <t>Exempt/ Salaried Staff</t>
  </si>
  <si>
    <t>FTEs</t>
  </si>
  <si>
    <t>Average salary</t>
  </si>
  <si>
    <t>Total Salary Cost</t>
  </si>
  <si>
    <t>Total Cost</t>
  </si>
  <si>
    <t>72-Hour Follow-up:   Avg. Telehealth Units/Episode</t>
  </si>
  <si>
    <t>15 minutes</t>
  </si>
  <si>
    <t>Program Director</t>
  </si>
  <si>
    <t>72-Hour Follow-up: Avg. Community Based Units / Episode</t>
  </si>
  <si>
    <t>Clinical Supervisor</t>
  </si>
  <si>
    <t>Episodes with Two-Week Community Based Crisis Support (CBCS) :%</t>
  </si>
  <si>
    <t>Provisionally Licensed Mental Health Professionals</t>
  </si>
  <si>
    <t>Episodes Receiving   CBCS: Number (Auto Calculated)</t>
  </si>
  <si>
    <t>Psychiatrist for Consultation</t>
  </si>
  <si>
    <t>CBCS Follow-Up : Avg. Units/Episode</t>
  </si>
  <si>
    <t>Data/ Evaluator</t>
  </si>
  <si>
    <t>Total: Medicaid</t>
  </si>
  <si>
    <t>Other</t>
  </si>
  <si>
    <t>Commercial or No Insurance</t>
  </si>
  <si>
    <t>Episodes of Care</t>
  </si>
  <si>
    <t xml:space="preserve"> Episodes of Care </t>
  </si>
  <si>
    <t>MCR Non-Exempt Benefit Eligible  Staff</t>
  </si>
  <si>
    <t>Average Hourly Rate</t>
  </si>
  <si>
    <t xml:space="preserve">Total Salary </t>
  </si>
  <si>
    <t>Fringe</t>
  </si>
  <si>
    <t>72-Hour Follow-up:  Avg. Telehealth Units/Episode</t>
  </si>
  <si>
    <t>Peer Support Specialist</t>
  </si>
  <si>
    <t>Care Coordinator/Case Manager</t>
  </si>
  <si>
    <t>Non Licensed Behavioral Health Staff</t>
  </si>
  <si>
    <t>Episodes Receiving   CBCS: # (Auto Calculated)</t>
  </si>
  <si>
    <t>Dedicated Administrative Assistant</t>
  </si>
  <si>
    <t>CBCS: Avg. Follow-Up Units/Episode</t>
  </si>
  <si>
    <t xml:space="preserve">Budgeted Overtime for Non-Exempt Staff </t>
  </si>
  <si>
    <t>Total Non-Medicaid</t>
  </si>
  <si>
    <t>Subtotal: Fee For Service Revenue</t>
  </si>
  <si>
    <t>Subtotal:  Full-Time / Part-Time  Staff</t>
  </si>
  <si>
    <t>Annual Grant/Additional Revenue</t>
  </si>
  <si>
    <t>State Grant</t>
  </si>
  <si>
    <t>Community Coalition</t>
  </si>
  <si>
    <t xml:space="preserve">MCR Fill-in, FFS, Covering Staff </t>
  </si>
  <si>
    <t>Number of Hours</t>
  </si>
  <si>
    <t>Donations</t>
  </si>
  <si>
    <t>Covering/ On-Call Supervisor</t>
  </si>
  <si>
    <t>Subtotal: Grant/Additional Revenue</t>
  </si>
  <si>
    <t>TOTAL REVENUE</t>
  </si>
  <si>
    <t>Subtotal: Fill-in Staffing</t>
  </si>
  <si>
    <t>Additional Staffing Costs</t>
  </si>
  <si>
    <t>Number of Staff/FTEs</t>
  </si>
  <si>
    <t>Avg. Per Staff</t>
  </si>
  <si>
    <t>Bonuses and stipends</t>
  </si>
  <si>
    <t>Merit Based or COL Adjustments- % of Total Salary</t>
  </si>
  <si>
    <t>Subtotal: Additional Staffing Costs</t>
  </si>
  <si>
    <t>Total: Staffing</t>
  </si>
  <si>
    <t>Telecommunications and Technology</t>
  </si>
  <si>
    <t>Technology Needed For Program</t>
  </si>
  <si>
    <t>Total #</t>
  </si>
  <si>
    <t>Monthly charges</t>
  </si>
  <si>
    <t>Total Monthly Cost</t>
  </si>
  <si>
    <t>Annual Costs</t>
  </si>
  <si>
    <t>Cell Phones, Including  Fill-In staff if Applicable</t>
  </si>
  <si>
    <t xml:space="preserve">Dedicated MCR Office-Based Phone </t>
  </si>
  <si>
    <t>Hotspot</t>
  </si>
  <si>
    <t>Subtotal:  Technology Needed For Program</t>
  </si>
  <si>
    <t xml:space="preserve">Technology: New/ Replacement </t>
  </si>
  <si>
    <t># needed</t>
  </si>
  <si>
    <t>Cost</t>
  </si>
  <si>
    <t>Total Costs</t>
  </si>
  <si>
    <t>Cell Phones ((Included in Total # Above)</t>
  </si>
  <si>
    <t>Laptops</t>
  </si>
  <si>
    <t>Subtotal: New/Replacement Technology</t>
  </si>
  <si>
    <t>Total: Technology</t>
  </si>
  <si>
    <t>Transportation</t>
  </si>
  <si>
    <t>Mileage Reimbursement</t>
  </si>
  <si>
    <t xml:space="preserve">Number of Staff </t>
  </si>
  <si>
    <t>Monthly Miles/Staff</t>
  </si>
  <si>
    <t>Annual Miles/Staff</t>
  </si>
  <si>
    <t>Reimbursement Rate/Mile</t>
  </si>
  <si>
    <t>Total Costs: Staff Mileage</t>
  </si>
  <si>
    <t>Agency-Owned vehicles</t>
  </si>
  <si>
    <t xml:space="preserve"># New Vehicles </t>
  </si>
  <si>
    <t>New Vehicle Cost/Vehicle</t>
  </si>
  <si>
    <t>Total New Vehicle Cost</t>
  </si>
  <si>
    <t>#  Current Vehicles</t>
  </si>
  <si>
    <t># Total Vehicles</t>
  </si>
  <si>
    <t>Insurance &amp; Registration /Vehicle</t>
  </si>
  <si>
    <t>Maintenance /Vehicle</t>
  </si>
  <si>
    <t>Annual Gas Cost/Vehicle</t>
  </si>
  <si>
    <t>Total Costs:  Agency Vehicles</t>
  </si>
  <si>
    <t>Total: Transportation Costs</t>
  </si>
  <si>
    <t>Trainings/Consultants</t>
  </si>
  <si>
    <t>Number of Trainings/Year</t>
  </si>
  <si>
    <t>Cost Per training</t>
  </si>
  <si>
    <t>Annual Consultant Fees/Year</t>
  </si>
  <si>
    <t>Total: Trainings/Consultants</t>
  </si>
  <si>
    <t>Marketing/Outreach Materials</t>
  </si>
  <si>
    <t>Annual Cost</t>
  </si>
  <si>
    <t>Pamphlets, flyers, business cards, etc.</t>
  </si>
  <si>
    <t>Branded giveaway items (e.g. stress balls, bags, etc.)</t>
  </si>
  <si>
    <t>Advertisements (e.g. radio ads, billboards, etc.)</t>
  </si>
  <si>
    <t>Total: Marketing/Outreach Materials</t>
  </si>
  <si>
    <t>Office Costs/Year</t>
  </si>
  <si>
    <t xml:space="preserve">Rent </t>
  </si>
  <si>
    <t>Office Supplies</t>
  </si>
  <si>
    <t>Other (Copying/Mailing Costs)</t>
  </si>
  <si>
    <t>Total: Office Related Costs</t>
  </si>
  <si>
    <t>TOTAL EXPENSES</t>
  </si>
  <si>
    <t>Medicaid Insurance</t>
  </si>
  <si>
    <t>Total Episodes Not Qualifying for Reimbursement</t>
  </si>
  <si>
    <t>Lost Potential Revenue/Write Off</t>
  </si>
  <si>
    <t>Total Lost Revenue/ Write-Off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</si>
</sst>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0"/>
      <name val="Aptos Narrow"/>
      <family val="2"/>
      <scheme val="minor"/>
    </font>
    <font>
      <sz val="2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20"/>
      <color theme="0"/>
      <name val="Aptos Narrow"/>
      <family val="2"/>
      <scheme val="minor"/>
    </font>
    <font>
      <b/>
      <sz val="22"/>
      <color theme="9" tint="-0.249977111117893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C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8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/>
    <xf numFmtId="0" fontId="2" fillId="0" borderId="0" xfId="0" applyFont="1" applyAlignment="1">
      <alignment horizontal="left" vertical="center"/>
    </xf>
    <xf numFmtId="44" fontId="2" fillId="0" borderId="0" xfId="0" applyNumberFormat="1" applyFont="1"/>
    <xf numFmtId="0" fontId="0" fillId="0" borderId="0" xfId="0" applyAlignment="1">
      <alignment horizontal="right"/>
    </xf>
    <xf numFmtId="44" fontId="0" fillId="0" borderId="0" xfId="1" applyFont="1" applyAlignment="1"/>
    <xf numFmtId="9" fontId="7" fillId="0" borderId="0" xfId="0" applyNumberFormat="1" applyFont="1" applyAlignment="1">
      <alignment horizontal="center" vertical="top"/>
    </xf>
    <xf numFmtId="44" fontId="0" fillId="0" borderId="0" xfId="1" applyFont="1" applyFill="1" applyAlignment="1"/>
    <xf numFmtId="44" fontId="0" fillId="0" borderId="0" xfId="0" applyNumberFormat="1"/>
    <xf numFmtId="0" fontId="6" fillId="0" borderId="0" xfId="0" applyFont="1"/>
    <xf numFmtId="0" fontId="2" fillId="2" borderId="0" xfId="0" applyFont="1" applyFill="1"/>
    <xf numFmtId="44" fontId="2" fillId="2" borderId="0" xfId="1" applyFont="1" applyFill="1" applyAlignment="1"/>
    <xf numFmtId="0" fontId="2" fillId="0" borderId="0" xfId="0" applyFont="1" applyAlignment="1">
      <alignment horizontal="left" vertical="top"/>
    </xf>
    <xf numFmtId="44" fontId="2" fillId="2" borderId="0" xfId="0" applyNumberFormat="1" applyFont="1" applyFill="1"/>
    <xf numFmtId="9" fontId="0" fillId="0" borderId="0" xfId="1" applyNumberFormat="1" applyFont="1" applyAlignment="1"/>
    <xf numFmtId="0" fontId="2" fillId="0" borderId="0" xfId="0" applyFont="1" applyAlignment="1">
      <alignment horizontal="right" vertical="top"/>
    </xf>
    <xf numFmtId="44" fontId="2" fillId="2" borderId="0" xfId="0" applyNumberFormat="1" applyFont="1" applyFill="1" applyAlignment="1">
      <alignment horizontal="right" vertical="top"/>
    </xf>
    <xf numFmtId="0" fontId="2" fillId="0" borderId="0" xfId="0" applyFont="1" applyAlignment="1">
      <alignment vertical="top"/>
    </xf>
    <xf numFmtId="0" fontId="0" fillId="0" borderId="0" xfId="1" applyNumberFormat="1" applyFont="1" applyAlignment="1"/>
    <xf numFmtId="0" fontId="0" fillId="0" borderId="0" xfId="0" applyAlignment="1">
      <alignment horizontal="left"/>
    </xf>
    <xf numFmtId="44" fontId="0" fillId="0" borderId="0" xfId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 applyAlignment="1">
      <alignment vertical="top"/>
    </xf>
    <xf numFmtId="44" fontId="0" fillId="4" borderId="0" xfId="1" applyFont="1" applyFill="1" applyAlignment="1"/>
    <xf numFmtId="44" fontId="0" fillId="4" borderId="0" xfId="0" applyNumberFormat="1" applyFill="1"/>
    <xf numFmtId="44" fontId="7" fillId="4" borderId="0" xfId="1" applyFont="1" applyFill="1" applyAlignment="1"/>
    <xf numFmtId="44" fontId="0" fillId="4" borderId="0" xfId="1" applyFont="1" applyFill="1" applyAlignment="1">
      <alignment vertical="top"/>
    </xf>
    <xf numFmtId="2" fontId="0" fillId="4" borderId="0" xfId="1" applyNumberFormat="1" applyFont="1" applyFill="1" applyAlignment="1"/>
    <xf numFmtId="44" fontId="7" fillId="0" borderId="0" xfId="0" applyNumberFormat="1" applyFont="1"/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44" fontId="7" fillId="5" borderId="0" xfId="1" applyFont="1" applyFill="1" applyAlignment="1"/>
    <xf numFmtId="0" fontId="2" fillId="0" borderId="0" xfId="0" applyFont="1" applyAlignment="1">
      <alignment horizontal="center" vertical="top"/>
    </xf>
    <xf numFmtId="0" fontId="2" fillId="6" borderId="0" xfId="0" applyFont="1" applyFill="1" applyAlignment="1">
      <alignment horizontal="left"/>
    </xf>
    <xf numFmtId="44" fontId="2" fillId="6" borderId="0" xfId="0" applyNumberFormat="1" applyFont="1" applyFill="1"/>
    <xf numFmtId="44" fontId="2" fillId="6" borderId="0" xfId="1" applyFont="1" applyFill="1" applyAlignment="1"/>
    <xf numFmtId="0" fontId="2" fillId="6" borderId="0" xfId="0" applyFont="1" applyFill="1"/>
    <xf numFmtId="0" fontId="0" fillId="5" borderId="0" xfId="0" applyFill="1" applyAlignment="1">
      <alignment horizontal="center" vertical="top"/>
    </xf>
    <xf numFmtId="0" fontId="7" fillId="5" borderId="0" xfId="0" applyFont="1" applyFill="1" applyAlignment="1">
      <alignment horizontal="center" vertical="top"/>
    </xf>
    <xf numFmtId="44" fontId="7" fillId="5" borderId="0" xfId="0" applyNumberFormat="1" applyFont="1" applyFill="1"/>
    <xf numFmtId="0" fontId="0" fillId="5" borderId="0" xfId="0" applyFill="1"/>
    <xf numFmtId="0" fontId="2" fillId="2" borderId="0" xfId="0" applyFont="1" applyFill="1" applyAlignment="1">
      <alignment horizontal="left" vertical="top"/>
    </xf>
    <xf numFmtId="44" fontId="0" fillId="5" borderId="0" xfId="1" applyFont="1" applyFill="1" applyAlignment="1"/>
    <xf numFmtId="44" fontId="0" fillId="5" borderId="0" xfId="0" applyNumberFormat="1" applyFill="1"/>
    <xf numFmtId="0" fontId="2" fillId="5" borderId="0" xfId="0" applyFont="1" applyFill="1" applyAlignment="1">
      <alignment horizontal="left"/>
    </xf>
    <xf numFmtId="44" fontId="2" fillId="5" borderId="0" xfId="0" applyNumberFormat="1" applyFont="1" applyFill="1"/>
    <xf numFmtId="0" fontId="0" fillId="5" borderId="0" xfId="0" applyFill="1" applyAlignment="1">
      <alignment horizontal="right"/>
    </xf>
    <xf numFmtId="0" fontId="5" fillId="0" borderId="0" xfId="0" applyFont="1" applyAlignment="1">
      <alignment horizontal="center" vertical="top" wrapText="1"/>
    </xf>
    <xf numFmtId="0" fontId="0" fillId="7" borderId="0" xfId="0" applyFill="1" applyAlignment="1">
      <alignment horizontal="center" vertical="top"/>
    </xf>
    <xf numFmtId="0" fontId="0" fillId="7" borderId="0" xfId="0" applyFill="1"/>
    <xf numFmtId="44" fontId="5" fillId="2" borderId="0" xfId="0" applyNumberFormat="1" applyFont="1" applyFill="1"/>
    <xf numFmtId="44" fontId="7" fillId="7" borderId="0" xfId="1" applyFont="1" applyFill="1" applyAlignment="1"/>
    <xf numFmtId="9" fontId="7" fillId="7" borderId="0" xfId="0" applyNumberFormat="1" applyFont="1" applyFill="1" applyAlignment="1">
      <alignment horizontal="center" vertical="top"/>
    </xf>
    <xf numFmtId="9" fontId="7" fillId="7" borderId="0" xfId="0" applyNumberFormat="1" applyFont="1" applyFill="1"/>
    <xf numFmtId="0" fontId="7" fillId="7" borderId="0" xfId="0" applyFont="1" applyFill="1" applyAlignment="1">
      <alignment horizontal="center" vertical="top"/>
    </xf>
    <xf numFmtId="0" fontId="7" fillId="7" borderId="0" xfId="0" applyFont="1" applyFill="1"/>
    <xf numFmtId="44" fontId="0" fillId="4" borderId="0" xfId="0" applyNumberFormat="1" applyFill="1" applyAlignment="1">
      <alignment vertical="top"/>
    </xf>
    <xf numFmtId="0" fontId="0" fillId="5" borderId="0" xfId="1" applyNumberFormat="1" applyFont="1" applyFill="1" applyAlignment="1"/>
    <xf numFmtId="2" fontId="0" fillId="5" borderId="0" xfId="1" applyNumberFormat="1" applyFont="1" applyFill="1" applyAlignment="1"/>
    <xf numFmtId="0" fontId="3" fillId="5" borderId="0" xfId="0" applyFont="1" applyFill="1" applyAlignment="1">
      <alignment horizontal="right"/>
    </xf>
    <xf numFmtId="0" fontId="4" fillId="5" borderId="0" xfId="0" applyFont="1" applyFill="1" applyAlignment="1">
      <alignment horizontal="left"/>
    </xf>
    <xf numFmtId="0" fontId="3" fillId="5" borderId="0" xfId="0" applyFont="1" applyFill="1" applyAlignment="1">
      <alignment horizontal="left"/>
    </xf>
    <xf numFmtId="0" fontId="8" fillId="5" borderId="0" xfId="0" applyFont="1" applyFill="1" applyAlignment="1">
      <alignment horizontal="left"/>
    </xf>
    <xf numFmtId="44" fontId="9" fillId="6" borderId="0" xfId="0" applyNumberFormat="1" applyFont="1" applyFill="1"/>
    <xf numFmtId="0" fontId="9" fillId="6" borderId="0" xfId="0" applyFont="1" applyFill="1" applyAlignment="1">
      <alignment horizontal="left"/>
    </xf>
    <xf numFmtId="0" fontId="8" fillId="6" borderId="0" xfId="0" applyFont="1" applyFill="1" applyAlignment="1">
      <alignment wrapText="1"/>
    </xf>
    <xf numFmtId="44" fontId="8" fillId="6" borderId="0" xfId="1" applyFont="1" applyFill="1" applyAlignment="1">
      <alignment horizontal="right"/>
    </xf>
    <xf numFmtId="0" fontId="2" fillId="5" borderId="0" xfId="0" applyFont="1" applyFill="1"/>
    <xf numFmtId="44" fontId="7" fillId="5" borderId="0" xfId="1" applyFont="1" applyFill="1" applyAlignment="1">
      <alignment horizontal="right"/>
    </xf>
    <xf numFmtId="0" fontId="2" fillId="2" borderId="0" xfId="0" applyFont="1" applyFill="1" applyAlignment="1">
      <alignment horizontal="left" wrapText="1"/>
    </xf>
    <xf numFmtId="44" fontId="1" fillId="0" borderId="0" xfId="1" applyFont="1" applyAlignment="1"/>
    <xf numFmtId="44" fontId="1" fillId="4" borderId="0" xfId="1" applyFont="1" applyFill="1" applyAlignment="1"/>
    <xf numFmtId="44" fontId="2" fillId="0" borderId="0" xfId="1" applyFont="1" applyFill="1" applyAlignment="1">
      <alignment horizontal="center"/>
    </xf>
    <xf numFmtId="9" fontId="2" fillId="0" borderId="0" xfId="0" applyNumberFormat="1" applyFont="1" applyAlignment="1">
      <alignment horizontal="center"/>
    </xf>
    <xf numFmtId="44" fontId="2" fillId="0" borderId="0" xfId="1" applyFont="1" applyAlignment="1">
      <alignment horizontal="center"/>
    </xf>
    <xf numFmtId="44" fontId="2" fillId="0" borderId="0" xfId="0" applyNumberFormat="1" applyFont="1" applyAlignment="1">
      <alignment horizontal="center"/>
    </xf>
    <xf numFmtId="44" fontId="5" fillId="2" borderId="0" xfId="1" applyFont="1" applyFill="1" applyAlignment="1"/>
    <xf numFmtId="0" fontId="0" fillId="3" borderId="0" xfId="0" applyFill="1"/>
    <xf numFmtId="0" fontId="10" fillId="3" borderId="0" xfId="0" applyFont="1" applyFill="1"/>
    <xf numFmtId="0" fontId="12" fillId="0" borderId="2" xfId="0" applyFont="1" applyBorder="1" applyAlignment="1">
      <alignment horizontal="center"/>
    </xf>
    <xf numFmtId="164" fontId="11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3" fillId="0" borderId="0" xfId="0" applyFont="1" applyAlignment="1">
      <alignment horizontal="center" vertical="top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4" borderId="0" xfId="0" applyFont="1" applyFill="1" applyAlignment="1">
      <alignment horizontal="center" vertical="top"/>
    </xf>
    <xf numFmtId="9" fontId="13" fillId="4" borderId="0" xfId="0" applyNumberFormat="1" applyFont="1" applyFill="1" applyAlignment="1">
      <alignment horizontal="center" vertical="top"/>
    </xf>
    <xf numFmtId="1" fontId="13" fillId="4" borderId="0" xfId="0" applyNumberFormat="1" applyFont="1" applyFill="1" applyAlignment="1">
      <alignment horizontal="center" vertical="top"/>
    </xf>
    <xf numFmtId="0" fontId="6" fillId="2" borderId="0" xfId="0" applyFont="1" applyFill="1"/>
    <xf numFmtId="44" fontId="6" fillId="2" borderId="0" xfId="0" applyNumberFormat="1" applyFont="1" applyFill="1"/>
    <xf numFmtId="44" fontId="13" fillId="4" borderId="0" xfId="1" applyFont="1" applyFill="1" applyAlignment="1"/>
    <xf numFmtId="44" fontId="13" fillId="7" borderId="0" xfId="1" applyFont="1" applyFill="1" applyAlignment="1"/>
    <xf numFmtId="44" fontId="13" fillId="0" borderId="0" xfId="1" applyFont="1" applyFill="1" applyAlignment="1"/>
    <xf numFmtId="44" fontId="13" fillId="0" borderId="0" xfId="1" applyFont="1" applyFill="1" applyAlignment="1">
      <alignment horizontal="center" wrapText="1"/>
    </xf>
    <xf numFmtId="44" fontId="6" fillId="2" borderId="0" xfId="1" applyFont="1" applyFill="1" applyAlignment="1"/>
    <xf numFmtId="0" fontId="2" fillId="0" borderId="0" xfId="0" applyFont="1" applyAlignment="1">
      <alignment horizontal="right" vertical="top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</cellXfs>
  <cellStyles count="2">
    <cellStyle name="Currency" xfId="1" builtinId="4"/>
    <cellStyle name="Normal" xfId="0" builtinId="0"/>
  </cellStyles>
  <dxfs count="2">
    <dxf>
      <font>
        <b/>
        <i val="0"/>
        <strike val="0"/>
        <color theme="9" tint="-0.24994659260841701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C95C5-713F-4754-B6F0-C90642D36487}">
  <dimension ref="A1:O95"/>
  <sheetViews>
    <sheetView tabSelected="1" zoomScale="115" zoomScaleNormal="115" workbookViewId="0">
      <selection activeCell="E9" sqref="E9"/>
    </sheetView>
  </sheetViews>
  <sheetFormatPr defaultRowHeight="14.45"/>
  <cols>
    <col min="1" max="1" width="35.85546875" customWidth="1"/>
    <col min="2" max="2" width="21.7109375" customWidth="1"/>
    <col min="3" max="3" width="20.7109375" customWidth="1"/>
    <col min="4" max="4" width="25" customWidth="1"/>
    <col min="5" max="5" width="27.85546875" customWidth="1"/>
    <col min="6" max="6" width="26.7109375" customWidth="1"/>
    <col min="7" max="7" width="40.28515625" customWidth="1"/>
    <col min="8" max="8" width="31.85546875" customWidth="1"/>
    <col min="9" max="9" width="27.85546875" customWidth="1"/>
    <col min="10" max="10" width="35.42578125" customWidth="1"/>
    <col min="11" max="11" width="30.5703125" customWidth="1"/>
    <col min="12" max="12" width="20.28515625" customWidth="1"/>
    <col min="13" max="13" width="28.7109375" customWidth="1"/>
    <col min="14" max="14" width="20.85546875" customWidth="1"/>
    <col min="15" max="15" width="17.85546875" customWidth="1"/>
    <col min="16" max="16" width="17.7109375" customWidth="1"/>
    <col min="18" max="18" width="21.42578125" customWidth="1"/>
  </cols>
  <sheetData>
    <row r="1" spans="1:15" ht="26.45" thickBot="1">
      <c r="A1" s="85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5" ht="28.35" customHeight="1">
      <c r="A2" s="106" t="str">
        <f>CONCATENATE("EXPENSES - ",TEXT(B95,"$#,##0.00"))</f>
        <v>EXPENSES - $1,134,140.62</v>
      </c>
      <c r="B2" s="106"/>
      <c r="C2" s="106"/>
      <c r="D2" s="106"/>
      <c r="E2" s="106"/>
      <c r="F2" s="107"/>
      <c r="G2" s="86" t="s">
        <v>1</v>
      </c>
      <c r="H2" s="105" t="str">
        <f>CONCATENATE("REVENUE - ",TEXT(I31,"$#,##0.00"))</f>
        <v>REVENUE - $1,166,783.38</v>
      </c>
      <c r="I2" s="105"/>
      <c r="J2" s="105"/>
      <c r="K2" s="105"/>
      <c r="L2" s="105"/>
      <c r="M2" s="105"/>
      <c r="N2" s="105"/>
      <c r="O2" s="105"/>
    </row>
    <row r="3" spans="1:15" ht="36.4" customHeight="1" thickBot="1">
      <c r="A3" s="106"/>
      <c r="B3" s="106"/>
      <c r="C3" s="106"/>
      <c r="D3" s="106"/>
      <c r="E3" s="106"/>
      <c r="F3" s="107"/>
      <c r="G3" s="87">
        <f>I31-B95</f>
        <v>32642.759999999776</v>
      </c>
      <c r="H3" s="105"/>
      <c r="I3" s="105"/>
      <c r="J3" s="105"/>
      <c r="K3" s="105"/>
      <c r="L3" s="105"/>
      <c r="M3" s="105"/>
      <c r="N3" s="105"/>
      <c r="O3" s="105"/>
    </row>
    <row r="4" spans="1:15" ht="28.9">
      <c r="A4" s="69" t="s">
        <v>2</v>
      </c>
      <c r="B4" s="66"/>
      <c r="C4" s="66"/>
      <c r="D4" s="66"/>
      <c r="E4" s="66"/>
      <c r="F4" s="66"/>
      <c r="G4" s="67"/>
      <c r="H4" s="69" t="s">
        <v>3</v>
      </c>
      <c r="K4" s="68"/>
      <c r="L4" s="68"/>
      <c r="M4" s="68"/>
    </row>
    <row r="5" spans="1:15" ht="30.4" customHeight="1">
      <c r="A5" s="18" t="s">
        <v>4</v>
      </c>
      <c r="B5" s="18"/>
      <c r="H5" s="18" t="s">
        <v>5</v>
      </c>
      <c r="I5" s="37" t="s">
        <v>6</v>
      </c>
      <c r="J5" s="54" t="s">
        <v>7</v>
      </c>
      <c r="K5" s="54" t="s">
        <v>8</v>
      </c>
      <c r="L5" s="54" t="s">
        <v>9</v>
      </c>
      <c r="M5" s="37" t="s">
        <v>10</v>
      </c>
    </row>
    <row r="6" spans="1:15">
      <c r="A6" s="3" t="s">
        <v>11</v>
      </c>
      <c r="B6" s="3"/>
      <c r="E6" s="27" t="s">
        <v>12</v>
      </c>
      <c r="H6" s="25" t="s">
        <v>13</v>
      </c>
      <c r="I6" s="5">
        <v>450</v>
      </c>
      <c r="J6" s="6">
        <v>440</v>
      </c>
      <c r="K6" s="6" t="s">
        <v>14</v>
      </c>
      <c r="L6" s="35">
        <v>493.72</v>
      </c>
      <c r="M6" s="32">
        <f>PRODUCT(J6,L6)</f>
        <v>217236.80000000002</v>
      </c>
    </row>
    <row r="7" spans="1:15">
      <c r="A7" s="8" t="s">
        <v>15</v>
      </c>
      <c r="B7" s="27" t="s">
        <v>16</v>
      </c>
      <c r="C7" s="82" t="s">
        <v>17</v>
      </c>
      <c r="D7" s="82" t="s">
        <v>18</v>
      </c>
      <c r="E7" s="80">
        <v>0.35</v>
      </c>
      <c r="F7" s="82" t="s">
        <v>19</v>
      </c>
      <c r="H7" s="25" t="s">
        <v>20</v>
      </c>
      <c r="I7" s="55"/>
      <c r="J7" s="6">
        <v>8</v>
      </c>
      <c r="K7" s="6" t="s">
        <v>21</v>
      </c>
      <c r="L7" s="35">
        <v>29.09</v>
      </c>
      <c r="M7" s="32">
        <f>PRODUCT(J7,L7,J6)</f>
        <v>102396.8</v>
      </c>
    </row>
    <row r="8" spans="1:15">
      <c r="A8" t="s">
        <v>22</v>
      </c>
      <c r="B8" s="28">
        <v>0.5</v>
      </c>
      <c r="C8" s="11">
        <v>67000</v>
      </c>
      <c r="D8" s="30">
        <f>C8*B8</f>
        <v>33500</v>
      </c>
      <c r="E8" s="30">
        <f>D8*$E$7</f>
        <v>11725</v>
      </c>
      <c r="F8" s="31">
        <f>D8+E8</f>
        <v>45225</v>
      </c>
      <c r="H8" s="25" t="s">
        <v>23</v>
      </c>
      <c r="I8" s="55"/>
      <c r="J8" s="6">
        <v>6</v>
      </c>
      <c r="K8" s="6" t="s">
        <v>21</v>
      </c>
      <c r="L8" s="35">
        <v>37.909999999999997</v>
      </c>
      <c r="M8" s="32">
        <f>PRODUCT(J8,L8,J6)</f>
        <v>100082.4</v>
      </c>
    </row>
    <row r="9" spans="1:15">
      <c r="A9" t="s">
        <v>24</v>
      </c>
      <c r="B9" s="28">
        <v>1</v>
      </c>
      <c r="C9" s="11">
        <v>56000</v>
      </c>
      <c r="D9" s="30">
        <f t="shared" ref="D9:D11" si="0">C9*B9</f>
        <v>56000</v>
      </c>
      <c r="E9" s="30">
        <f t="shared" ref="E9:E14" si="1">D9*$E$7</f>
        <v>19600</v>
      </c>
      <c r="F9" s="31">
        <f t="shared" ref="F9:F11" si="2">D9+E9</f>
        <v>75600</v>
      </c>
      <c r="H9" s="25" t="s">
        <v>25</v>
      </c>
      <c r="I9" s="55"/>
      <c r="J9" s="12">
        <v>0.4</v>
      </c>
      <c r="K9" s="59"/>
      <c r="L9" s="60"/>
      <c r="M9" s="58"/>
    </row>
    <row r="10" spans="1:15">
      <c r="A10" t="s">
        <v>26</v>
      </c>
      <c r="B10" s="28">
        <v>6</v>
      </c>
      <c r="C10" s="11">
        <v>42000</v>
      </c>
      <c r="D10" s="30">
        <f t="shared" si="0"/>
        <v>252000</v>
      </c>
      <c r="E10" s="30">
        <f t="shared" si="1"/>
        <v>88200</v>
      </c>
      <c r="F10" s="31">
        <f t="shared" si="2"/>
        <v>340200</v>
      </c>
      <c r="H10" s="25" t="s">
        <v>27</v>
      </c>
      <c r="I10" s="55"/>
      <c r="J10" s="45">
        <f>PRODUCT(J6,J9)</f>
        <v>176</v>
      </c>
      <c r="K10" s="61"/>
      <c r="L10" s="62"/>
      <c r="M10" s="58"/>
    </row>
    <row r="11" spans="1:15">
      <c r="A11" t="s">
        <v>28</v>
      </c>
      <c r="B11" s="28">
        <v>0.1</v>
      </c>
      <c r="C11" s="11">
        <v>103000</v>
      </c>
      <c r="D11" s="30">
        <f t="shared" si="0"/>
        <v>10300</v>
      </c>
      <c r="E11" s="30">
        <f t="shared" si="1"/>
        <v>3604.9999999999995</v>
      </c>
      <c r="F11" s="31">
        <f t="shared" si="2"/>
        <v>13905</v>
      </c>
      <c r="H11" s="25" t="s">
        <v>29</v>
      </c>
      <c r="I11" s="55"/>
      <c r="J11" s="6">
        <v>18</v>
      </c>
      <c r="K11" s="6" t="s">
        <v>21</v>
      </c>
      <c r="L11" s="35">
        <v>38.159999999999997</v>
      </c>
      <c r="M11" s="32">
        <f>PRODUCT(J11,J10,L11)</f>
        <v>120890.87999999999</v>
      </c>
    </row>
    <row r="12" spans="1:15">
      <c r="A12" t="s">
        <v>30</v>
      </c>
      <c r="B12" s="28">
        <v>0.3</v>
      </c>
      <c r="C12" s="11">
        <v>48000</v>
      </c>
      <c r="D12" s="30">
        <f>C12*B12</f>
        <v>14400</v>
      </c>
      <c r="E12" s="30">
        <f t="shared" si="1"/>
        <v>5040</v>
      </c>
      <c r="F12" s="31">
        <f>D12+E12</f>
        <v>19440</v>
      </c>
      <c r="H12" s="25"/>
      <c r="I12" s="5"/>
      <c r="J12" s="6"/>
      <c r="K12" s="6"/>
      <c r="L12" s="57" t="s">
        <v>31</v>
      </c>
      <c r="M12" s="83">
        <f>SUM(M6:M11)</f>
        <v>540606.88</v>
      </c>
    </row>
    <row r="13" spans="1:15">
      <c r="A13" t="s">
        <v>32</v>
      </c>
      <c r="B13" s="28"/>
      <c r="C13" s="11"/>
      <c r="D13" s="30">
        <f>C13*B13</f>
        <v>0</v>
      </c>
      <c r="E13" s="30">
        <f t="shared" si="1"/>
        <v>0</v>
      </c>
      <c r="F13" s="31">
        <f t="shared" ref="F13:F14" si="3">D13+E13</f>
        <v>0</v>
      </c>
      <c r="H13" s="25"/>
      <c r="I13" s="5"/>
      <c r="J13" s="6"/>
      <c r="K13" s="6"/>
      <c r="L13" s="35"/>
      <c r="M13" s="38"/>
    </row>
    <row r="14" spans="1:15" ht="33.4" customHeight="1">
      <c r="A14" s="2" t="s">
        <v>32</v>
      </c>
      <c r="B14" s="5"/>
      <c r="C14" s="2"/>
      <c r="D14" s="33">
        <f>C14*B14</f>
        <v>0</v>
      </c>
      <c r="E14" s="33">
        <f t="shared" si="1"/>
        <v>0</v>
      </c>
      <c r="F14" s="63">
        <f t="shared" si="3"/>
        <v>0</v>
      </c>
      <c r="H14" s="18" t="s">
        <v>33</v>
      </c>
      <c r="I14" s="37" t="s">
        <v>34</v>
      </c>
      <c r="J14" s="54" t="s">
        <v>7</v>
      </c>
      <c r="K14" s="54" t="s">
        <v>8</v>
      </c>
      <c r="L14" s="54" t="s">
        <v>9</v>
      </c>
      <c r="M14" s="37" t="s">
        <v>10</v>
      </c>
    </row>
    <row r="15" spans="1:15" ht="19.7" customHeight="1">
      <c r="A15" s="47"/>
      <c r="B15" s="53"/>
      <c r="C15" s="47"/>
      <c r="D15" s="49"/>
      <c r="E15" s="49"/>
      <c r="F15" s="50"/>
      <c r="H15" s="25" t="s">
        <v>35</v>
      </c>
      <c r="I15" s="5">
        <v>300</v>
      </c>
      <c r="J15" s="6">
        <v>50</v>
      </c>
      <c r="K15" s="6" t="s">
        <v>14</v>
      </c>
      <c r="L15" s="35">
        <v>493.72</v>
      </c>
      <c r="M15" s="32">
        <f>J15*L15</f>
        <v>24686</v>
      </c>
    </row>
    <row r="16" spans="1:15">
      <c r="A16" s="4" t="s">
        <v>36</v>
      </c>
      <c r="B16" s="27" t="s">
        <v>16</v>
      </c>
      <c r="C16" s="81" t="s">
        <v>37</v>
      </c>
      <c r="D16" s="79" t="s">
        <v>38</v>
      </c>
      <c r="E16" s="79" t="s">
        <v>39</v>
      </c>
      <c r="F16" s="27" t="s">
        <v>19</v>
      </c>
      <c r="H16" s="25" t="s">
        <v>40</v>
      </c>
      <c r="I16" s="56"/>
      <c r="J16" s="6">
        <v>3</v>
      </c>
      <c r="K16" s="6" t="s">
        <v>21</v>
      </c>
      <c r="L16" s="35">
        <v>29.09</v>
      </c>
      <c r="M16" s="32">
        <f>PRODUCT(J15,,J16,L16)</f>
        <v>4363.5</v>
      </c>
    </row>
    <row r="17" spans="1:13">
      <c r="A17" t="s">
        <v>41</v>
      </c>
      <c r="B17" s="28">
        <v>3.5</v>
      </c>
      <c r="C17" s="11">
        <v>19.5</v>
      </c>
      <c r="D17" s="30">
        <f>C17*B17*40*52</f>
        <v>141960</v>
      </c>
      <c r="E17" s="30">
        <f>D17*$E$7</f>
        <v>49686</v>
      </c>
      <c r="F17" s="31">
        <f>D17+E17</f>
        <v>191646</v>
      </c>
      <c r="H17" s="25" t="s">
        <v>23</v>
      </c>
      <c r="I17" s="56"/>
      <c r="J17" s="6">
        <v>10</v>
      </c>
      <c r="K17" s="6" t="s">
        <v>21</v>
      </c>
      <c r="L17" s="35">
        <v>37.909999999999997</v>
      </c>
      <c r="M17" s="32">
        <f>PRODUCT(J15,J17,L17)</f>
        <v>18955</v>
      </c>
    </row>
    <row r="18" spans="1:13">
      <c r="A18" t="s">
        <v>42</v>
      </c>
      <c r="B18" s="28">
        <v>1</v>
      </c>
      <c r="C18" s="11">
        <v>20</v>
      </c>
      <c r="D18" s="30">
        <f>C18*B18*40*52</f>
        <v>41600</v>
      </c>
      <c r="E18" s="30">
        <f t="shared" ref="E18:E20" si="4">D18*$E$7</f>
        <v>14559.999999999998</v>
      </c>
      <c r="F18" s="31">
        <f t="shared" ref="F18:F20" si="5">D18+E18</f>
        <v>56160</v>
      </c>
      <c r="H18" s="25" t="s">
        <v>25</v>
      </c>
      <c r="I18" s="56"/>
      <c r="J18" s="12">
        <v>0.4</v>
      </c>
      <c r="K18" s="59"/>
      <c r="L18" s="60"/>
      <c r="M18" s="58"/>
    </row>
    <row r="19" spans="1:13">
      <c r="A19" t="s">
        <v>43</v>
      </c>
      <c r="B19" s="28">
        <v>3.25</v>
      </c>
      <c r="C19" s="11">
        <v>20.25</v>
      </c>
      <c r="D19" s="30">
        <f t="shared" ref="D19:D20" si="6">C19*B19*40*52</f>
        <v>136890</v>
      </c>
      <c r="E19" s="30">
        <f t="shared" si="4"/>
        <v>47911.5</v>
      </c>
      <c r="F19" s="31">
        <f t="shared" si="5"/>
        <v>184801.5</v>
      </c>
      <c r="H19" s="25" t="s">
        <v>44</v>
      </c>
      <c r="I19" s="56"/>
      <c r="J19" s="45">
        <f>PRODUCT(J15,0.5)</f>
        <v>25</v>
      </c>
      <c r="K19" s="61"/>
      <c r="L19" s="62"/>
      <c r="M19" s="58"/>
    </row>
    <row r="20" spans="1:13">
      <c r="A20" t="s">
        <v>45</v>
      </c>
      <c r="B20" s="28">
        <v>0.2</v>
      </c>
      <c r="C20" s="11">
        <v>18.75</v>
      </c>
      <c r="D20" s="30">
        <f t="shared" si="6"/>
        <v>7800</v>
      </c>
      <c r="E20" s="30">
        <f t="shared" si="4"/>
        <v>2730</v>
      </c>
      <c r="F20" s="31">
        <f t="shared" si="5"/>
        <v>10530</v>
      </c>
      <c r="H20" s="25" t="s">
        <v>46</v>
      </c>
      <c r="I20" s="56"/>
      <c r="J20" s="6">
        <v>18</v>
      </c>
      <c r="K20" s="6" t="s">
        <v>21</v>
      </c>
      <c r="L20" s="35">
        <v>38.159999999999997</v>
      </c>
      <c r="M20" s="32">
        <f>PRODUCT(J19,J20,L20)</f>
        <v>17172</v>
      </c>
    </row>
    <row r="21" spans="1:13">
      <c r="A21" t="s">
        <v>47</v>
      </c>
      <c r="B21" s="28">
        <v>0.05</v>
      </c>
      <c r="C21" s="11">
        <v>30</v>
      </c>
      <c r="D21" s="30">
        <f>C21*B21*40*52</f>
        <v>3120</v>
      </c>
      <c r="E21" s="30">
        <f>D21*$E$7</f>
        <v>1092</v>
      </c>
      <c r="F21" s="31">
        <f>D21+E21</f>
        <v>4212</v>
      </c>
      <c r="H21" s="25"/>
      <c r="I21" s="47"/>
      <c r="J21" s="6"/>
      <c r="K21" s="6"/>
      <c r="L21" s="57" t="s">
        <v>48</v>
      </c>
      <c r="M21" s="83">
        <f>SUM(M15:M20)</f>
        <v>65176.5</v>
      </c>
    </row>
    <row r="22" spans="1:13">
      <c r="A22" t="s">
        <v>32</v>
      </c>
      <c r="B22" s="10"/>
      <c r="C22" s="11"/>
      <c r="D22" s="30">
        <f>C22*B22*40*52</f>
        <v>0</v>
      </c>
      <c r="E22" s="30">
        <f>D22*$E$7</f>
        <v>0</v>
      </c>
      <c r="F22" s="31">
        <f>D22+E22</f>
        <v>0</v>
      </c>
      <c r="H22" s="16" t="s">
        <v>49</v>
      </c>
      <c r="I22" s="83">
        <f>SUM(M12,M21)</f>
        <v>605783.38</v>
      </c>
      <c r="J22" s="6"/>
      <c r="K22" s="35"/>
    </row>
    <row r="23" spans="1:13">
      <c r="A23" t="s">
        <v>32</v>
      </c>
      <c r="B23" s="10"/>
      <c r="D23" s="30">
        <f>C23*B23*40*52</f>
        <v>0</v>
      </c>
      <c r="E23" s="30">
        <f>D23*$E$7</f>
        <v>0</v>
      </c>
      <c r="F23" s="31">
        <f>D23+E23</f>
        <v>0</v>
      </c>
      <c r="H23" s="44"/>
      <c r="I23" s="45"/>
      <c r="J23" s="45"/>
      <c r="K23" s="46"/>
      <c r="L23" s="38"/>
    </row>
    <row r="24" spans="1:13">
      <c r="A24" s="76" t="s">
        <v>50</v>
      </c>
      <c r="B24" s="17">
        <f>SUM(F8:F23)</f>
        <v>941719.5</v>
      </c>
      <c r="C24" s="11"/>
      <c r="D24" s="49"/>
      <c r="E24" s="49"/>
      <c r="F24" s="50"/>
      <c r="H24" s="1" t="s">
        <v>51</v>
      </c>
      <c r="I24" s="5"/>
      <c r="J24" s="6"/>
      <c r="K24" s="7"/>
      <c r="L24" s="38"/>
      <c r="M24" s="15"/>
    </row>
    <row r="25" spans="1:13">
      <c r="H25" s="25" t="s">
        <v>52</v>
      </c>
      <c r="I25" s="35">
        <v>475000</v>
      </c>
      <c r="J25" s="6"/>
      <c r="M25" s="15"/>
    </row>
    <row r="26" spans="1:13">
      <c r="B26" s="28"/>
      <c r="C26" s="28"/>
      <c r="D26" s="28"/>
      <c r="E26" s="27" t="s">
        <v>12</v>
      </c>
      <c r="F26" s="28"/>
      <c r="H26" s="25" t="s">
        <v>53</v>
      </c>
      <c r="I26" s="35">
        <v>23000</v>
      </c>
      <c r="J26" s="6"/>
      <c r="M26" s="15"/>
    </row>
    <row r="27" spans="1:13">
      <c r="A27" s="18" t="s">
        <v>54</v>
      </c>
      <c r="B27" s="27" t="s">
        <v>55</v>
      </c>
      <c r="C27" s="27" t="s">
        <v>37</v>
      </c>
      <c r="D27" s="27" t="s">
        <v>19</v>
      </c>
      <c r="E27" s="80">
        <v>0.15</v>
      </c>
      <c r="F27" s="27" t="s">
        <v>10</v>
      </c>
      <c r="H27" s="25" t="s">
        <v>56</v>
      </c>
      <c r="I27" s="35">
        <v>63000</v>
      </c>
      <c r="J27" s="6"/>
      <c r="M27" s="15"/>
    </row>
    <row r="28" spans="1:13">
      <c r="A28" t="s">
        <v>57</v>
      </c>
      <c r="B28" s="28">
        <v>600</v>
      </c>
      <c r="C28" s="11">
        <v>25</v>
      </c>
      <c r="D28" s="30">
        <f>C28*B28</f>
        <v>15000</v>
      </c>
      <c r="E28" s="30">
        <f>D28*$E$27</f>
        <v>2250</v>
      </c>
      <c r="F28" s="31">
        <f>D28+E28</f>
        <v>17250</v>
      </c>
      <c r="H28" s="16" t="s">
        <v>58</v>
      </c>
      <c r="I28" s="83">
        <f>SUM(I25:I27)</f>
        <v>561000</v>
      </c>
      <c r="M28" s="15"/>
    </row>
    <row r="29" spans="1:13">
      <c r="A29" t="s">
        <v>26</v>
      </c>
      <c r="B29" s="28">
        <v>500</v>
      </c>
      <c r="C29" s="14">
        <v>22</v>
      </c>
      <c r="D29" s="30">
        <f>C29*B29</f>
        <v>11000</v>
      </c>
      <c r="E29" s="30">
        <f t="shared" ref="E29:E31" si="7">D29*$E$27</f>
        <v>1650</v>
      </c>
      <c r="F29" s="31">
        <f t="shared" ref="F29:F31" si="8">D29+E29</f>
        <v>12650</v>
      </c>
      <c r="H29" s="47"/>
      <c r="I29" s="47"/>
      <c r="J29" s="47"/>
      <c r="K29" s="47"/>
      <c r="L29" s="38"/>
    </row>
    <row r="30" spans="1:13">
      <c r="A30" t="s">
        <v>41</v>
      </c>
      <c r="B30" s="28">
        <v>180</v>
      </c>
      <c r="C30" s="14">
        <v>19.5</v>
      </c>
      <c r="D30" s="30">
        <f>C30*B30</f>
        <v>3510</v>
      </c>
      <c r="E30" s="30">
        <f t="shared" si="7"/>
        <v>526.5</v>
      </c>
      <c r="F30" s="31">
        <f t="shared" si="8"/>
        <v>4036.5</v>
      </c>
      <c r="I30" s="74"/>
    </row>
    <row r="31" spans="1:13" ht="18">
      <c r="A31" t="s">
        <v>42</v>
      </c>
      <c r="B31" s="28">
        <v>225</v>
      </c>
      <c r="C31" s="14">
        <v>20</v>
      </c>
      <c r="D31" s="30">
        <f>C31*B31</f>
        <v>4500</v>
      </c>
      <c r="E31" s="30">
        <f t="shared" si="7"/>
        <v>675</v>
      </c>
      <c r="F31" s="31">
        <f t="shared" si="8"/>
        <v>5175</v>
      </c>
      <c r="H31" s="72" t="s">
        <v>59</v>
      </c>
      <c r="I31" s="73">
        <f>I22+I28</f>
        <v>1166783.3799999999</v>
      </c>
    </row>
    <row r="32" spans="1:13">
      <c r="A32" s="16" t="s">
        <v>60</v>
      </c>
      <c r="B32" s="19">
        <f>SUM(F28:F31)</f>
        <v>39111.5</v>
      </c>
      <c r="J32" s="75"/>
    </row>
    <row r="35" spans="1:6">
      <c r="A35" s="4" t="s">
        <v>61</v>
      </c>
      <c r="B35" s="27" t="s">
        <v>62</v>
      </c>
      <c r="C35" s="27" t="s">
        <v>63</v>
      </c>
      <c r="D35" s="27" t="s">
        <v>19</v>
      </c>
    </row>
    <row r="36" spans="1:6">
      <c r="A36" t="s">
        <v>64</v>
      </c>
      <c r="B36">
        <v>5</v>
      </c>
      <c r="C36" s="11">
        <v>1000</v>
      </c>
      <c r="D36" s="30">
        <f>B36*C36</f>
        <v>5000</v>
      </c>
    </row>
    <row r="37" spans="1:6">
      <c r="A37" t="s">
        <v>65</v>
      </c>
      <c r="B37">
        <v>13</v>
      </c>
      <c r="C37" s="20">
        <v>0.02</v>
      </c>
      <c r="D37" s="30">
        <f>SUM(B24,B32)*(C37)</f>
        <v>19616.62</v>
      </c>
    </row>
    <row r="38" spans="1:6">
      <c r="C38" s="20"/>
      <c r="D38" s="49"/>
    </row>
    <row r="39" spans="1:6">
      <c r="A39" s="16" t="s">
        <v>66</v>
      </c>
      <c r="B39" s="19">
        <f>SUM(D36:D37)</f>
        <v>24616.62</v>
      </c>
    </row>
    <row r="40" spans="1:6">
      <c r="C40" s="4"/>
    </row>
    <row r="41" spans="1:6">
      <c r="A41" s="40" t="s">
        <v>67</v>
      </c>
      <c r="B41" s="41">
        <f>SUM(B24,B32,B39)</f>
        <v>1005447.62</v>
      </c>
    </row>
    <row r="42" spans="1:6">
      <c r="A42" s="51"/>
      <c r="B42" s="52"/>
    </row>
    <row r="43" spans="1:6" ht="27.4" customHeight="1">
      <c r="A43" s="18" t="s">
        <v>68</v>
      </c>
    </row>
    <row r="44" spans="1:6">
      <c r="A44" s="1" t="s">
        <v>69</v>
      </c>
      <c r="B44" s="27" t="s">
        <v>70</v>
      </c>
      <c r="C44" s="27" t="s">
        <v>71</v>
      </c>
      <c r="D44" s="27" t="s">
        <v>72</v>
      </c>
      <c r="E44" s="27" t="s">
        <v>73</v>
      </c>
    </row>
    <row r="45" spans="1:6">
      <c r="A45" t="s">
        <v>74</v>
      </c>
      <c r="B45" s="28">
        <v>17</v>
      </c>
      <c r="C45" s="14">
        <v>56</v>
      </c>
      <c r="D45" s="30">
        <f>B45*C45</f>
        <v>952</v>
      </c>
      <c r="E45" s="31">
        <f>PRODUCT(D45,12)</f>
        <v>11424</v>
      </c>
    </row>
    <row r="46" spans="1:6">
      <c r="A46" s="36" t="s">
        <v>75</v>
      </c>
      <c r="B46" s="5">
        <v>1</v>
      </c>
      <c r="C46" s="29">
        <v>75</v>
      </c>
      <c r="D46" s="30">
        <f t="shared" ref="D46:D47" si="9">B46*C46</f>
        <v>75</v>
      </c>
      <c r="E46" s="31">
        <f>PRODUCT(D46,12)</f>
        <v>900</v>
      </c>
      <c r="F46" s="2"/>
    </row>
    <row r="47" spans="1:6">
      <c r="A47" t="s">
        <v>76</v>
      </c>
      <c r="B47" s="28">
        <v>17</v>
      </c>
      <c r="C47" s="14">
        <v>28</v>
      </c>
      <c r="D47" s="30">
        <f t="shared" si="9"/>
        <v>476</v>
      </c>
      <c r="E47" s="31">
        <f>PRODUCT(D47,12)</f>
        <v>5712</v>
      </c>
      <c r="F47" s="14"/>
    </row>
    <row r="48" spans="1:6">
      <c r="B48" s="104"/>
      <c r="C48" s="104"/>
      <c r="D48" s="104"/>
      <c r="E48" s="14"/>
    </row>
    <row r="49" spans="1:9">
      <c r="A49" s="48" t="s">
        <v>77</v>
      </c>
      <c r="B49" s="22">
        <f>SUM(E45:E47)</f>
        <v>18036</v>
      </c>
      <c r="C49" s="21"/>
      <c r="D49" s="14"/>
      <c r="E49" s="14"/>
      <c r="F49" s="14"/>
    </row>
    <row r="50" spans="1:9">
      <c r="B50" s="18"/>
      <c r="C50" s="18"/>
      <c r="D50" s="18"/>
      <c r="E50" s="18"/>
    </row>
    <row r="51" spans="1:9" ht="25.35" customHeight="1">
      <c r="A51" s="18" t="s">
        <v>78</v>
      </c>
      <c r="B51" s="4" t="s">
        <v>79</v>
      </c>
      <c r="C51" s="4" t="s">
        <v>80</v>
      </c>
      <c r="D51" s="4" t="s">
        <v>81</v>
      </c>
    </row>
    <row r="52" spans="1:9">
      <c r="A52" t="s">
        <v>82</v>
      </c>
      <c r="B52" s="10">
        <v>2</v>
      </c>
      <c r="C52" s="11">
        <v>404</v>
      </c>
      <c r="D52" s="30">
        <f>B52*C52</f>
        <v>808</v>
      </c>
    </row>
    <row r="53" spans="1:9">
      <c r="A53" t="s">
        <v>83</v>
      </c>
      <c r="B53">
        <v>2</v>
      </c>
      <c r="C53" s="11">
        <v>836</v>
      </c>
      <c r="D53" s="30">
        <f t="shared" ref="D53:D54" si="10">B53*C53</f>
        <v>1672</v>
      </c>
    </row>
    <row r="54" spans="1:9">
      <c r="A54" t="s">
        <v>32</v>
      </c>
      <c r="B54" s="14"/>
      <c r="C54" s="11"/>
      <c r="D54" s="30">
        <f t="shared" si="10"/>
        <v>0</v>
      </c>
    </row>
    <row r="55" spans="1:9">
      <c r="B55" s="14"/>
      <c r="C55" s="23"/>
    </row>
    <row r="56" spans="1:9">
      <c r="A56" s="16" t="s">
        <v>84</v>
      </c>
      <c r="B56" s="19">
        <f>SUM(D52:D54)</f>
        <v>2480</v>
      </c>
      <c r="C56" s="11"/>
      <c r="D56" s="13"/>
    </row>
    <row r="57" spans="1:9">
      <c r="A57" s="4"/>
      <c r="B57" s="9"/>
      <c r="C57" s="11"/>
      <c r="D57" s="13"/>
    </row>
    <row r="58" spans="1:9">
      <c r="A58" s="43" t="s">
        <v>85</v>
      </c>
      <c r="B58" s="41">
        <f>SUM(B49,B56)</f>
        <v>20516</v>
      </c>
      <c r="C58" s="11"/>
      <c r="D58" s="13"/>
    </row>
    <row r="59" spans="1:9">
      <c r="A59" s="1"/>
      <c r="B59" s="4"/>
      <c r="C59" s="9"/>
      <c r="D59" s="11"/>
      <c r="E59" s="13"/>
    </row>
    <row r="60" spans="1:9" ht="30" customHeight="1">
      <c r="A60" s="23" t="s">
        <v>86</v>
      </c>
      <c r="C60" s="23"/>
    </row>
    <row r="61" spans="1:9">
      <c r="A61" s="1" t="s">
        <v>87</v>
      </c>
    </row>
    <row r="62" spans="1:9">
      <c r="A62" s="27" t="s">
        <v>88</v>
      </c>
      <c r="B62" s="27" t="s">
        <v>89</v>
      </c>
      <c r="C62" s="27" t="s">
        <v>90</v>
      </c>
      <c r="D62" s="27" t="s">
        <v>91</v>
      </c>
      <c r="E62" s="27" t="s">
        <v>92</v>
      </c>
      <c r="H62" s="47"/>
      <c r="I62" s="47"/>
    </row>
    <row r="63" spans="1:9">
      <c r="A63" s="5">
        <v>15</v>
      </c>
      <c r="B63" s="24">
        <v>108</v>
      </c>
      <c r="C63" s="34">
        <f>PRODUCT(A63,B63,12)</f>
        <v>19440</v>
      </c>
      <c r="D63" s="11">
        <v>0.55000000000000004</v>
      </c>
      <c r="E63" s="30">
        <f>PRODUCT(C63,D63)</f>
        <v>10692</v>
      </c>
    </row>
    <row r="64" spans="1:9" s="47" customFormat="1">
      <c r="A64" s="44"/>
      <c r="B64" s="64"/>
      <c r="C64" s="65"/>
      <c r="D64" s="49"/>
      <c r="E64" s="49"/>
      <c r="G64"/>
      <c r="H64"/>
      <c r="I64"/>
    </row>
    <row r="65" spans="1:9">
      <c r="A65" s="1" t="s">
        <v>93</v>
      </c>
      <c r="G65" s="47"/>
    </row>
    <row r="66" spans="1:9">
      <c r="A66" s="27" t="s">
        <v>94</v>
      </c>
      <c r="B66" s="27" t="s">
        <v>95</v>
      </c>
      <c r="C66" s="27" t="s">
        <v>96</v>
      </c>
      <c r="D66" s="28"/>
      <c r="E66" s="4"/>
    </row>
    <row r="67" spans="1:9">
      <c r="A67" s="28">
        <v>1</v>
      </c>
      <c r="B67" s="14">
        <v>29000</v>
      </c>
      <c r="C67" s="14">
        <f>PRODUCT(A67,B67)</f>
        <v>29000</v>
      </c>
      <c r="D67" s="4"/>
      <c r="E67" s="4"/>
    </row>
    <row r="68" spans="1:9">
      <c r="A68" s="27" t="s">
        <v>97</v>
      </c>
      <c r="B68" s="4"/>
      <c r="C68" s="4"/>
      <c r="D68" s="4"/>
      <c r="E68" s="4"/>
    </row>
    <row r="69" spans="1:9">
      <c r="A69" s="28">
        <v>2</v>
      </c>
      <c r="D69" s="4"/>
    </row>
    <row r="70" spans="1:9" ht="28.9">
      <c r="A70" s="39" t="s">
        <v>98</v>
      </c>
      <c r="B70" s="37" t="s">
        <v>99</v>
      </c>
      <c r="C70" s="37" t="s">
        <v>100</v>
      </c>
      <c r="D70" s="39" t="s">
        <v>101</v>
      </c>
      <c r="E70" s="39" t="s">
        <v>102</v>
      </c>
      <c r="I70" s="2"/>
    </row>
    <row r="71" spans="1:9" ht="18" customHeight="1">
      <c r="A71" s="28">
        <f>SUM(A67,A69)</f>
        <v>3</v>
      </c>
      <c r="B71" s="77">
        <v>11000</v>
      </c>
      <c r="C71" s="77">
        <f>PRODUCT(A63,B63)</f>
        <v>1620</v>
      </c>
      <c r="D71" s="77">
        <v>7100</v>
      </c>
      <c r="E71" s="78">
        <f>SUM(B71,C71,D71)*A71</f>
        <v>59160</v>
      </c>
    </row>
    <row r="72" spans="1:9" s="2" customFormat="1">
      <c r="A72" s="27"/>
      <c r="B72" s="11"/>
      <c r="C72"/>
      <c r="D72"/>
      <c r="E72" s="11"/>
      <c r="F72" s="13"/>
      <c r="G72"/>
      <c r="H72"/>
      <c r="I72"/>
    </row>
    <row r="73" spans="1:9">
      <c r="A73" s="40" t="s">
        <v>103</v>
      </c>
      <c r="B73" s="41">
        <f>SUM(E63,E71)</f>
        <v>69852</v>
      </c>
      <c r="D73" s="11"/>
      <c r="E73" s="11"/>
      <c r="I73" s="2"/>
    </row>
    <row r="74" spans="1:9">
      <c r="A74" s="25"/>
      <c r="B74" s="1"/>
      <c r="C74" s="1"/>
      <c r="H74" s="2"/>
    </row>
    <row r="75" spans="1:9">
      <c r="A75" s="25"/>
      <c r="B75" s="1"/>
      <c r="C75" s="25"/>
    </row>
    <row r="76" spans="1:9">
      <c r="A76" s="1" t="s">
        <v>104</v>
      </c>
    </row>
    <row r="77" spans="1:9">
      <c r="A77" s="27" t="s">
        <v>105</v>
      </c>
      <c r="B77" s="27" t="s">
        <v>106</v>
      </c>
      <c r="C77" s="27" t="s">
        <v>19</v>
      </c>
      <c r="G77" s="2"/>
    </row>
    <row r="78" spans="1:9">
      <c r="A78" s="28">
        <v>10</v>
      </c>
      <c r="B78" s="26">
        <v>1000</v>
      </c>
      <c r="C78" s="26">
        <f>A78*B78</f>
        <v>10000</v>
      </c>
      <c r="D78" s="26"/>
    </row>
    <row r="79" spans="1:9">
      <c r="A79" s="27" t="s">
        <v>107</v>
      </c>
      <c r="B79" s="56"/>
      <c r="C79" s="26">
        <v>5000</v>
      </c>
      <c r="D79" s="26"/>
    </row>
    <row r="80" spans="1:9">
      <c r="A80" s="40" t="s">
        <v>108</v>
      </c>
      <c r="B80" s="42">
        <f>C78+C79</f>
        <v>15000</v>
      </c>
      <c r="D80" s="26"/>
    </row>
    <row r="81" spans="1:2">
      <c r="A81" s="1"/>
      <c r="B81" s="1"/>
    </row>
    <row r="82" spans="1:2">
      <c r="A82" s="1" t="s">
        <v>109</v>
      </c>
      <c r="B82" s="27" t="s">
        <v>110</v>
      </c>
    </row>
    <row r="83" spans="1:2">
      <c r="A83" s="25" t="s">
        <v>111</v>
      </c>
      <c r="B83" s="26">
        <v>2000</v>
      </c>
    </row>
    <row r="84" spans="1:2">
      <c r="A84" s="25" t="s">
        <v>112</v>
      </c>
      <c r="B84" s="26">
        <v>5000</v>
      </c>
    </row>
    <row r="85" spans="1:2">
      <c r="A85" s="25" t="s">
        <v>113</v>
      </c>
      <c r="B85" s="26">
        <v>5000</v>
      </c>
    </row>
    <row r="86" spans="1:2">
      <c r="A86" s="40" t="s">
        <v>114</v>
      </c>
      <c r="B86" s="42">
        <f>SUM(B83:B85)</f>
        <v>12000</v>
      </c>
    </row>
    <row r="87" spans="1:2">
      <c r="A87" s="1"/>
      <c r="B87" s="25"/>
    </row>
    <row r="89" spans="1:2">
      <c r="A89" s="1" t="s">
        <v>115</v>
      </c>
      <c r="B89" s="4" t="s">
        <v>10</v>
      </c>
    </row>
    <row r="90" spans="1:2">
      <c r="A90" t="s">
        <v>116</v>
      </c>
      <c r="B90" s="11">
        <v>9600</v>
      </c>
    </row>
    <row r="91" spans="1:2">
      <c r="A91" t="s">
        <v>117</v>
      </c>
      <c r="B91" s="11">
        <v>1300</v>
      </c>
    </row>
    <row r="92" spans="1:2">
      <c r="A92" t="s">
        <v>118</v>
      </c>
      <c r="B92" s="14">
        <v>425</v>
      </c>
    </row>
    <row r="93" spans="1:2">
      <c r="A93" s="43" t="s">
        <v>119</v>
      </c>
      <c r="B93" s="41">
        <f>SUM(B90:B91:B92)</f>
        <v>11325</v>
      </c>
    </row>
    <row r="95" spans="1:2" ht="18">
      <c r="A95" s="71" t="s">
        <v>120</v>
      </c>
      <c r="B95" s="70">
        <f>SUM(B41,B58,B73,B80,B86,B93)</f>
        <v>1134140.6200000001</v>
      </c>
    </row>
  </sheetData>
  <mergeCells count="3">
    <mergeCell ref="B48:D48"/>
    <mergeCell ref="H2:O3"/>
    <mergeCell ref="A2:F3"/>
  </mergeCells>
  <conditionalFormatting sqref="G3:G4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508ED-25B2-4E70-BDBD-BA94C080CA1E}">
  <dimension ref="A1:K19"/>
  <sheetViews>
    <sheetView workbookViewId="0">
      <selection activeCell="B6" sqref="B6"/>
    </sheetView>
  </sheetViews>
  <sheetFormatPr defaultRowHeight="14.45"/>
  <cols>
    <col min="1" max="1" width="62.140625" bestFit="1" customWidth="1"/>
    <col min="2" max="2" width="17.7109375" customWidth="1"/>
    <col min="3" max="3" width="22" customWidth="1"/>
    <col min="5" max="5" width="20.140625" bestFit="1" customWidth="1"/>
    <col min="6" max="6" width="12.5703125" bestFit="1" customWidth="1"/>
    <col min="8" max="8" width="28.42578125" bestFit="1" customWidth="1"/>
    <col min="9" max="9" width="20.7109375" customWidth="1"/>
    <col min="10" max="10" width="20.140625" bestFit="1" customWidth="1"/>
    <col min="11" max="11" width="18.28515625" bestFit="1" customWidth="1"/>
  </cols>
  <sheetData>
    <row r="1" spans="1:11" s="90" customFormat="1" ht="43.15">
      <c r="A1" s="91" t="s">
        <v>121</v>
      </c>
      <c r="B1" s="91" t="s">
        <v>6</v>
      </c>
      <c r="C1" s="92" t="s">
        <v>7</v>
      </c>
      <c r="D1" s="92" t="s">
        <v>8</v>
      </c>
      <c r="E1" s="92" t="s">
        <v>9</v>
      </c>
      <c r="F1" s="91" t="s">
        <v>10</v>
      </c>
      <c r="H1" s="88" t="s">
        <v>122</v>
      </c>
      <c r="I1" s="88" t="s">
        <v>8</v>
      </c>
      <c r="J1" s="88" t="s">
        <v>9</v>
      </c>
      <c r="K1" s="88" t="s">
        <v>123</v>
      </c>
    </row>
    <row r="2" spans="1:11">
      <c r="A2" s="25" t="s">
        <v>13</v>
      </c>
      <c r="B2" s="5">
        <v>490</v>
      </c>
      <c r="C2" s="6">
        <v>473</v>
      </c>
      <c r="D2" s="6" t="s">
        <v>14</v>
      </c>
      <c r="E2" s="35">
        <v>493.72</v>
      </c>
      <c r="F2" s="32">
        <f>PRODUCT(C2,E2)</f>
        <v>233529.56000000003</v>
      </c>
      <c r="H2" s="94">
        <f>B2-C2</f>
        <v>17</v>
      </c>
      <c r="I2" s="6" t="s">
        <v>14</v>
      </c>
      <c r="J2" s="35">
        <v>493.72</v>
      </c>
      <c r="K2" s="99">
        <f>J2*H2</f>
        <v>8393.24</v>
      </c>
    </row>
    <row r="3" spans="1:11">
      <c r="A3" s="25" t="s">
        <v>20</v>
      </c>
      <c r="B3" s="55"/>
      <c r="C3" s="6">
        <v>8</v>
      </c>
      <c r="D3" s="6" t="s">
        <v>21</v>
      </c>
      <c r="E3" s="35">
        <v>29.09</v>
      </c>
      <c r="F3" s="32">
        <f>PRODUCT(C3,E3,C2)</f>
        <v>110076.56</v>
      </c>
      <c r="H3" s="94">
        <f>C3</f>
        <v>8</v>
      </c>
      <c r="I3" s="6" t="s">
        <v>21</v>
      </c>
      <c r="J3" s="35">
        <v>29.09</v>
      </c>
      <c r="K3" s="99">
        <f>H2*H3*J3</f>
        <v>3956.24</v>
      </c>
    </row>
    <row r="4" spans="1:11">
      <c r="A4" s="25" t="s">
        <v>23</v>
      </c>
      <c r="B4" s="55"/>
      <c r="C4" s="6">
        <v>6</v>
      </c>
      <c r="D4" s="6" t="s">
        <v>21</v>
      </c>
      <c r="E4" s="35">
        <v>37.909999999999997</v>
      </c>
      <c r="F4" s="32">
        <f>PRODUCT(C4,E4,C2)</f>
        <v>107588.57999999999</v>
      </c>
      <c r="H4" s="94">
        <f>C4</f>
        <v>6</v>
      </c>
      <c r="I4" s="6" t="s">
        <v>21</v>
      </c>
      <c r="J4" s="35">
        <v>37.909999999999997</v>
      </c>
      <c r="K4" s="99">
        <f>H2*H4*J4</f>
        <v>3866.8199999999997</v>
      </c>
    </row>
    <row r="5" spans="1:11">
      <c r="A5" s="25" t="s">
        <v>25</v>
      </c>
      <c r="B5" s="55"/>
      <c r="C5" s="12">
        <v>0.4</v>
      </c>
      <c r="D5" s="59"/>
      <c r="E5" s="60"/>
      <c r="F5" s="58"/>
      <c r="H5" s="95">
        <f>C5</f>
        <v>0.4</v>
      </c>
      <c r="I5" s="59"/>
      <c r="J5" s="60"/>
      <c r="K5" s="100"/>
    </row>
    <row r="6" spans="1:11">
      <c r="A6" s="25" t="s">
        <v>27</v>
      </c>
      <c r="B6" s="55"/>
      <c r="C6" s="45">
        <f>PRODUCT(C2,C5)</f>
        <v>189.20000000000002</v>
      </c>
      <c r="D6" s="61"/>
      <c r="E6" s="62"/>
      <c r="F6" s="58"/>
      <c r="H6" s="96">
        <f>C5*H2</f>
        <v>6.8000000000000007</v>
      </c>
      <c r="I6" s="61"/>
      <c r="J6" s="62"/>
      <c r="K6" s="100"/>
    </row>
    <row r="7" spans="1:11">
      <c r="A7" s="25" t="s">
        <v>29</v>
      </c>
      <c r="B7" s="55"/>
      <c r="C7" s="6">
        <v>18</v>
      </c>
      <c r="D7" s="6" t="s">
        <v>21</v>
      </c>
      <c r="E7" s="35">
        <v>38.159999999999997</v>
      </c>
      <c r="F7" s="32">
        <f>PRODUCT(C7,C6,E7)</f>
        <v>129957.696</v>
      </c>
      <c r="H7" s="94">
        <f>C7</f>
        <v>18</v>
      </c>
      <c r="I7" s="6" t="s">
        <v>21</v>
      </c>
      <c r="J7" s="35">
        <v>38.159999999999997</v>
      </c>
      <c r="K7" s="99">
        <f>H6*H7*J7</f>
        <v>4670.7839999999997</v>
      </c>
    </row>
    <row r="8" spans="1:11">
      <c r="A8" s="25"/>
      <c r="B8" s="5"/>
      <c r="C8" s="6"/>
      <c r="D8" s="6"/>
      <c r="E8" s="57" t="s">
        <v>31</v>
      </c>
      <c r="F8" s="83">
        <f>SUM(F2:F7)</f>
        <v>581152.39599999995</v>
      </c>
      <c r="H8" s="89"/>
      <c r="I8" s="6"/>
      <c r="J8" s="57" t="s">
        <v>31</v>
      </c>
      <c r="K8" s="103">
        <f>SUM(K2:K4,K7)</f>
        <v>20887.083999999999</v>
      </c>
    </row>
    <row r="9" spans="1:11">
      <c r="A9" s="25"/>
      <c r="B9" s="5"/>
      <c r="C9" s="6"/>
      <c r="D9" s="6"/>
      <c r="E9" s="35"/>
      <c r="F9" s="38"/>
      <c r="H9" s="89"/>
      <c r="I9" s="6"/>
      <c r="J9" s="35"/>
      <c r="K9" s="101"/>
    </row>
    <row r="10" spans="1:11" s="90" customFormat="1" ht="43.15">
      <c r="A10" s="91" t="s">
        <v>33</v>
      </c>
      <c r="B10" s="91" t="s">
        <v>34</v>
      </c>
      <c r="C10" s="92" t="s">
        <v>7</v>
      </c>
      <c r="D10" s="92" t="s">
        <v>8</v>
      </c>
      <c r="E10" s="92" t="s">
        <v>9</v>
      </c>
      <c r="F10" s="91" t="s">
        <v>10</v>
      </c>
      <c r="H10" s="93"/>
      <c r="I10" s="92" t="s">
        <v>8</v>
      </c>
      <c r="J10" s="92" t="s">
        <v>9</v>
      </c>
      <c r="K10" s="102"/>
    </row>
    <row r="11" spans="1:11">
      <c r="A11" s="25" t="s">
        <v>35</v>
      </c>
      <c r="B11" s="5">
        <v>300</v>
      </c>
      <c r="C11" s="6">
        <v>50</v>
      </c>
      <c r="D11" s="6" t="s">
        <v>14</v>
      </c>
      <c r="E11" s="35">
        <v>493.72</v>
      </c>
      <c r="F11" s="32">
        <f>SUM(C11,493.72)</f>
        <v>543.72</v>
      </c>
      <c r="H11" s="94">
        <f>B11-C11</f>
        <v>250</v>
      </c>
      <c r="I11" s="6" t="s">
        <v>14</v>
      </c>
      <c r="J11" s="35">
        <v>493.72</v>
      </c>
      <c r="K11" s="99">
        <f>J11*H11</f>
        <v>123430</v>
      </c>
    </row>
    <row r="12" spans="1:11">
      <c r="A12" s="25" t="s">
        <v>40</v>
      </c>
      <c r="B12" s="56"/>
      <c r="C12" s="6">
        <v>3</v>
      </c>
      <c r="D12" s="6" t="s">
        <v>21</v>
      </c>
      <c r="E12" s="35">
        <v>29.09</v>
      </c>
      <c r="F12" s="32">
        <f>PRODUCT(C11,E12)</f>
        <v>1454.5</v>
      </c>
      <c r="H12" s="94">
        <f>C12</f>
        <v>3</v>
      </c>
      <c r="I12" s="6" t="s">
        <v>21</v>
      </c>
      <c r="J12" s="35">
        <v>29.09</v>
      </c>
      <c r="K12" s="99">
        <f>H11*H12*J12</f>
        <v>21817.5</v>
      </c>
    </row>
    <row r="13" spans="1:11">
      <c r="A13" s="25" t="s">
        <v>23</v>
      </c>
      <c r="B13" s="56"/>
      <c r="C13" s="6">
        <v>10</v>
      </c>
      <c r="D13" s="6" t="s">
        <v>21</v>
      </c>
      <c r="E13" s="35">
        <v>37.909999999999997</v>
      </c>
      <c r="F13" s="32">
        <f>PRODUCT(C13,E13)</f>
        <v>379.09999999999997</v>
      </c>
      <c r="H13" s="94">
        <f>C13</f>
        <v>10</v>
      </c>
      <c r="I13" s="6" t="s">
        <v>21</v>
      </c>
      <c r="J13" s="35">
        <v>37.909999999999997</v>
      </c>
      <c r="K13" s="99">
        <f>H11*H13*J13</f>
        <v>94774.999999999985</v>
      </c>
    </row>
    <row r="14" spans="1:11">
      <c r="A14" s="25" t="s">
        <v>25</v>
      </c>
      <c r="B14" s="56"/>
      <c r="C14" s="12">
        <v>0.4</v>
      </c>
      <c r="D14" s="59"/>
      <c r="E14" s="60"/>
      <c r="F14" s="58"/>
      <c r="H14" s="95">
        <f>C14</f>
        <v>0.4</v>
      </c>
      <c r="I14" s="59"/>
      <c r="J14" s="60"/>
      <c r="K14" s="100"/>
    </row>
    <row r="15" spans="1:11">
      <c r="A15" s="25" t="s">
        <v>44</v>
      </c>
      <c r="B15" s="56"/>
      <c r="C15" s="45">
        <f>PRODUCT(C11,0.5)</f>
        <v>25</v>
      </c>
      <c r="D15" s="61"/>
      <c r="E15" s="62"/>
      <c r="F15" s="58"/>
      <c r="H15" s="96">
        <f>C14*H11</f>
        <v>100</v>
      </c>
      <c r="I15" s="61"/>
      <c r="J15" s="62"/>
      <c r="K15" s="100"/>
    </row>
    <row r="16" spans="1:11">
      <c r="A16" s="25" t="s">
        <v>46</v>
      </c>
      <c r="B16" s="56"/>
      <c r="C16" s="6">
        <v>18</v>
      </c>
      <c r="D16" s="6" t="s">
        <v>21</v>
      </c>
      <c r="E16" s="35">
        <v>38.159999999999997</v>
      </c>
      <c r="F16" s="32">
        <f>PRODUCT(C16,E16)</f>
        <v>686.87999999999988</v>
      </c>
      <c r="H16" s="94">
        <f>C16</f>
        <v>18</v>
      </c>
      <c r="I16" s="6" t="s">
        <v>21</v>
      </c>
      <c r="J16" s="35">
        <v>38.159999999999997</v>
      </c>
      <c r="K16" s="99">
        <f>H15*H16*J16</f>
        <v>68688</v>
      </c>
    </row>
    <row r="17" spans="1:11">
      <c r="A17" s="25"/>
      <c r="B17" s="47"/>
      <c r="C17" s="6"/>
      <c r="D17" s="6"/>
      <c r="E17" s="57" t="s">
        <v>48</v>
      </c>
      <c r="F17" s="83">
        <f>SUM(F11:F16)</f>
        <v>3064.2</v>
      </c>
      <c r="I17" s="6"/>
      <c r="J17" s="57" t="s">
        <v>48</v>
      </c>
      <c r="K17" s="103">
        <f>SUM(K11:K13,K16)</f>
        <v>308710.5</v>
      </c>
    </row>
    <row r="19" spans="1:11">
      <c r="H19" s="97" t="s">
        <v>124</v>
      </c>
      <c r="I19" s="98">
        <f>K8+K17</f>
        <v>329597.58399999997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b0ad6c-ac15-4be6-9f58-e509fa8a7f99" xsi:nil="true"/>
    <lcf76f155ced4ddcb4097134ff3c332f xmlns="b2b37b43-952e-4126-aa21-c8e5c5a751a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1C9ADBE7149E48A0B879DEC231FD02" ma:contentTypeVersion="17" ma:contentTypeDescription="Create a new document." ma:contentTypeScope="" ma:versionID="46c0662bd50946aeda8269d0a4c67612">
  <xsd:schema xmlns:xsd="http://www.w3.org/2001/XMLSchema" xmlns:xs="http://www.w3.org/2001/XMLSchema" xmlns:p="http://schemas.microsoft.com/office/2006/metadata/properties" xmlns:ns2="b2b37b43-952e-4126-aa21-c8e5c5a751a6" xmlns:ns3="04b0ad6c-ac15-4be6-9f58-e509fa8a7f99" targetNamespace="http://schemas.microsoft.com/office/2006/metadata/properties" ma:root="true" ma:fieldsID="ced2607d601be2fed2efd665693e6948" ns2:_="" ns3:_="">
    <xsd:import namespace="b2b37b43-952e-4126-aa21-c8e5c5a751a6"/>
    <xsd:import namespace="04b0ad6c-ac15-4be6-9f58-e509fa8a7f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b37b43-952e-4126-aa21-c8e5c5a751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f5d7b13-30af-4d25-abfc-e38a113a1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0ad6c-ac15-4be6-9f58-e509fa8a7f9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9f18661-fd91-4adf-8531-4fa3c7db42cd}" ma:internalName="TaxCatchAll" ma:showField="CatchAllData" ma:web="04b0ad6c-ac15-4be6-9f58-e509fa8a7f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42843E-4DE6-4EE9-89A9-7EC64B2E2007}"/>
</file>

<file path=customXml/itemProps2.xml><?xml version="1.0" encoding="utf-8"?>
<ds:datastoreItem xmlns:ds="http://schemas.openxmlformats.org/officeDocument/2006/customXml" ds:itemID="{FCDF6A77-D9B3-494C-8886-3EE1F33F37FC}"/>
</file>

<file path=customXml/itemProps3.xml><?xml version="1.0" encoding="utf-8"?>
<ds:datastoreItem xmlns:ds="http://schemas.openxmlformats.org/officeDocument/2006/customXml" ds:itemID="{1B6D7288-B51E-4F1B-8EF9-ED16D4A2D6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Becker</dc:creator>
  <cp:keywords/>
  <dc:description/>
  <cp:lastModifiedBy/>
  <cp:revision/>
  <dcterms:created xsi:type="dcterms:W3CDTF">2025-05-06T19:56:52Z</dcterms:created>
  <dcterms:modified xsi:type="dcterms:W3CDTF">2025-10-30T14:31:59Z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0x0101006D1C9ADBE7149E48A0B879DEC231FD02</vt:lpwstr>
  </property>
  <property fmtid="{D5CDD505-2E9C-101B-9397-08002B2CF9AE}" pid="3" name="MediaServiceImageTags">
    <vt:lpwstr/>
  </property>
</Properties>
</file>